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bookViews>
    <workbookView xWindow="400" yWindow="0" windowWidth="28220" windowHeight="18700" activeTab="2"/>
  </bookViews>
  <sheets>
    <sheet name="Enoncé" sheetId="4" r:id="rId1"/>
    <sheet name="Solution" sheetId="26" r:id="rId2"/>
    <sheet name="calcul" sheetId="25" r:id="rId3"/>
  </sheets>
  <definedNames>
    <definedName name="x">#REF!</definedName>
    <definedName name="y">#REF!</definedName>
    <definedName name="_xlnm.Print_Area" localSheetId="2">calcul!$B$2</definedName>
    <definedName name="_xlnm.Print_Area" localSheetId="1">Solution!$B$2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25" l="1"/>
  <c r="D30" i="25"/>
  <c r="E30" i="25"/>
  <c r="F30" i="25"/>
  <c r="C30" i="25"/>
  <c r="C47" i="25"/>
  <c r="C27" i="25"/>
  <c r="C28" i="25"/>
  <c r="D27" i="25"/>
  <c r="D28" i="25"/>
  <c r="E27" i="25"/>
  <c r="E28" i="25"/>
  <c r="F27" i="25"/>
  <c r="F28" i="25"/>
  <c r="G27" i="25"/>
  <c r="G28" i="25"/>
  <c r="H27" i="25"/>
  <c r="H28" i="25"/>
  <c r="I27" i="25"/>
  <c r="I28" i="25"/>
  <c r="J28" i="25"/>
  <c r="D49" i="25"/>
  <c r="C31" i="25"/>
  <c r="D31" i="25"/>
  <c r="E31" i="25"/>
  <c r="F31" i="25"/>
  <c r="G31" i="25"/>
  <c r="H31" i="25"/>
  <c r="I31" i="25"/>
  <c r="J31" i="25"/>
  <c r="J27" i="25"/>
  <c r="J6" i="25"/>
  <c r="C32" i="25"/>
  <c r="E49" i="25"/>
  <c r="C49" i="25"/>
  <c r="C48" i="25"/>
  <c r="D48" i="25"/>
  <c r="E48" i="25"/>
  <c r="F48" i="25"/>
  <c r="H54" i="25"/>
  <c r="H53" i="25"/>
  <c r="H68" i="25"/>
  <c r="C29" i="25"/>
  <c r="D29" i="25"/>
  <c r="E29" i="25"/>
  <c r="F29" i="25"/>
  <c r="G29" i="25"/>
  <c r="H29" i="25"/>
  <c r="I29" i="25"/>
  <c r="J29" i="25"/>
  <c r="H67" i="25"/>
  <c r="H66" i="25"/>
  <c r="H69" i="25"/>
  <c r="H30" i="25"/>
  <c r="I30" i="25"/>
  <c r="H26" i="25"/>
  <c r="I26" i="25"/>
  <c r="I75" i="25"/>
  <c r="H75" i="25"/>
  <c r="G30" i="25"/>
  <c r="K27" i="25"/>
  <c r="D34" i="25"/>
  <c r="D33" i="25"/>
  <c r="C39" i="25"/>
  <c r="H37" i="25"/>
  <c r="H38" i="25"/>
  <c r="G38" i="25"/>
  <c r="C37" i="25"/>
  <c r="C26" i="25"/>
  <c r="D26" i="25"/>
  <c r="E26" i="25"/>
  <c r="F26" i="25"/>
  <c r="G26" i="25"/>
  <c r="J26" i="25"/>
  <c r="C34" i="25"/>
  <c r="G75" i="25"/>
  <c r="D47" i="25"/>
  <c r="C74" i="25"/>
  <c r="C38" i="25"/>
  <c r="I38" i="25"/>
  <c r="G37" i="25"/>
  <c r="I37" i="25"/>
  <c r="C40" i="25"/>
  <c r="J39" i="25"/>
  <c r="C43" i="25"/>
  <c r="F40" i="25"/>
  <c r="C42" i="25"/>
  <c r="D52" i="25"/>
  <c r="D69" i="25"/>
  <c r="E67" i="25"/>
  <c r="B65" i="25"/>
  <c r="B53" i="25"/>
  <c r="B61" i="25"/>
  <c r="B55" i="25"/>
  <c r="B56" i="25"/>
  <c r="H48" i="25"/>
  <c r="D51" i="25"/>
  <c r="H62" i="25"/>
  <c r="I62" i="25"/>
  <c r="D70" i="25"/>
  <c r="E68" i="25"/>
  <c r="E66" i="25"/>
  <c r="B62" i="25"/>
  <c r="B54" i="25"/>
  <c r="B58" i="25"/>
  <c r="B59" i="25"/>
  <c r="B57" i="25"/>
  <c r="D75" i="25"/>
  <c r="F75" i="25"/>
  <c r="C75" i="25"/>
  <c r="E75" i="25"/>
  <c r="H59" i="25"/>
  <c r="I59" i="25"/>
  <c r="H70" i="25"/>
</calcChain>
</file>

<file path=xl/sharedStrings.xml><?xml version="1.0" encoding="utf-8"?>
<sst xmlns="http://schemas.openxmlformats.org/spreadsheetml/2006/main" count="128" uniqueCount="62">
  <si>
    <t>Error bars represent the 95% interval of confidence of the mean (computed from Between-Group Mean Square and Student's t 0,95)</t>
  </si>
  <si>
    <t>Anova I critère aléatoire</t>
  </si>
  <si>
    <t>A propos du ©</t>
  </si>
  <si>
    <t>Pratique des biostatistiques   www.fundp.ac.be/biostats Eric Depiereux - Université de Namur</t>
  </si>
  <si>
    <t>Homogénéité des variances (test de Bartlett)</t>
  </si>
  <si>
    <t>chi-carré</t>
  </si>
  <si>
    <t>d.l.</t>
  </si>
  <si>
    <t>Homogénéité des variances, OK</t>
  </si>
  <si>
    <t/>
  </si>
  <si>
    <t>image</t>
  </si>
  <si>
    <t>praticable sur des tailles d'échantillons égales</t>
  </si>
  <si>
    <t>Valeur critique (95%) lue dans les tables</t>
  </si>
  <si>
    <t>Rapport des S2max/S2min</t>
  </si>
  <si>
    <t>SSS</t>
  </si>
  <si>
    <t>La variance entre les unités aléatoires est détectable</t>
  </si>
  <si>
    <t xml:space="preserve">Estimation de la variance entre les unités aléatoires </t>
  </si>
  <si>
    <t xml:space="preserve">Estimation de la variance entre les répétitions de la mesure </t>
  </si>
  <si>
    <t>Estimation du coût de l'unité aléatoire (à introduire dans le cadre)</t>
  </si>
  <si>
    <t xml:space="preserve">Estimation du coût de l'unité aléatoire </t>
  </si>
  <si>
    <t xml:space="preserve">Estimation du coût de la répétition de la mesure (à introduire dans le cadre) </t>
  </si>
  <si>
    <t xml:space="preserve">Estimation du nombre optimal de  répétitions de la mesure </t>
  </si>
  <si>
    <t xml:space="preserve">Différence minimale ayant une signification (à introduire dans le cadre) </t>
  </si>
  <si>
    <t xml:space="preserve">Estimation du nombre optimal d'unités aléatoires (confiance=puissance=95%) </t>
  </si>
  <si>
    <t xml:space="preserve">Intervalle de confiance à 95% de la moyenne générale </t>
  </si>
  <si>
    <t xml:space="preserve">Valeur de t de Student </t>
  </si>
  <si>
    <t xml:space="preserve">Estimation de la moyenne générale </t>
  </si>
  <si>
    <t xml:space="preserve">Estimation de l'écart-type </t>
  </si>
  <si>
    <t xml:space="preserve">limite inférieure de l'intervalle de confiance à 95%  </t>
  </si>
  <si>
    <t xml:space="preserve">limite supérieure de l'intervalle de confiance à 95%  </t>
  </si>
  <si>
    <t>www.univ-orleans.fr/.webloc</t>
  </si>
  <si>
    <t>En savoir plus :</t>
  </si>
  <si>
    <t>rat 1</t>
  </si>
  <si>
    <t>rat 2</t>
  </si>
  <si>
    <t>rat 3</t>
  </si>
  <si>
    <t>rat 4</t>
  </si>
  <si>
    <t>nombre d'observations identique par groupe</t>
  </si>
  <si>
    <t>nb unités aléatoires</t>
  </si>
  <si>
    <t>nobs</t>
  </si>
  <si>
    <t>nobs-1</t>
  </si>
  <si>
    <t>moyennes</t>
  </si>
  <si>
    <t>variances</t>
  </si>
  <si>
    <t>SCE</t>
  </si>
  <si>
    <t>CMR</t>
  </si>
  <si>
    <t>Homogénéité des variances (test de Hartley)</t>
  </si>
  <si>
    <t>Test plus simple mais moins puissant que le test de Bartlett</t>
  </si>
  <si>
    <t>H 0,95</t>
  </si>
  <si>
    <t>ANOVA I</t>
  </si>
  <si>
    <t>dl</t>
  </si>
  <si>
    <t>CM</t>
  </si>
  <si>
    <t>F</t>
  </si>
  <si>
    <t>probabilité</t>
  </si>
  <si>
    <t>Totale</t>
  </si>
  <si>
    <t>Facteur</t>
  </si>
  <si>
    <t>Résiduelle</t>
  </si>
  <si>
    <t>Conclusion au seuil 5%</t>
  </si>
  <si>
    <t>Moyenne générale avec barres d'erreur (± intervalle de confiance à 95% de la moyenne)</t>
  </si>
  <si>
    <t>t</t>
  </si>
  <si>
    <t>2 SEM</t>
  </si>
  <si>
    <t>l'intervalle de confiance de la moyenne (95%) correspond a ± 2 SEM (standard error of the mean) lorque na est grand</t>
  </si>
  <si>
    <t>lorsque le nombre d'unités est petit, le 2 est  remplacé par une valeur de t de student (&gt;2 ou &gt;&gt;2)</t>
  </si>
  <si>
    <t>qui garantit la probabilité annoncée (95%)</t>
  </si>
  <si>
    <t xml:space="preserve">Data has been analysed by ANOVA I after testing the homogeneity of variance (Bartlett)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</si>
</sst>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5" x14ac:knownFonts="1">
    <font>
      <sz val="9"/>
      <name val="Geneva"/>
    </font>
    <font>
      <sz val="12"/>
      <name val="Geneva"/>
    </font>
    <font>
      <b/>
      <sz val="12"/>
      <name val="Geneva"/>
    </font>
    <font>
      <u/>
      <sz val="10"/>
      <color indexed="12"/>
      <name val="Verdana"/>
    </font>
    <font>
      <sz val="10"/>
      <name val="Verdana"/>
    </font>
    <font>
      <sz val="18"/>
      <color indexed="12"/>
      <name val="Verdana"/>
    </font>
    <font>
      <sz val="18"/>
      <color indexed="10"/>
      <name val="Verdana"/>
    </font>
    <font>
      <sz val="12"/>
      <color indexed="12"/>
      <name val="Verdana"/>
    </font>
    <font>
      <sz val="12"/>
      <color indexed="10"/>
      <name val="Verdana"/>
    </font>
    <font>
      <sz val="10"/>
      <color indexed="10"/>
      <name val="Verdana"/>
    </font>
    <font>
      <sz val="18"/>
      <name val="Verdana"/>
    </font>
    <font>
      <b/>
      <sz val="14"/>
      <color indexed="8"/>
      <name val="Verdana"/>
    </font>
    <font>
      <i/>
      <sz val="12"/>
      <color indexed="12"/>
      <name val="Verdana"/>
    </font>
    <font>
      <b/>
      <sz val="10"/>
      <color indexed="10"/>
      <name val="Verdana"/>
    </font>
    <font>
      <b/>
      <sz val="12"/>
      <color indexed="12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4" fillId="0" borderId="0" xfId="2"/>
    <xf numFmtId="0" fontId="4" fillId="0" borderId="1" xfId="2" applyBorder="1"/>
    <xf numFmtId="0" fontId="4" fillId="0" borderId="2" xfId="2" applyBorder="1"/>
    <xf numFmtId="0" fontId="4" fillId="0" borderId="3" xfId="2" applyBorder="1"/>
    <xf numFmtId="0" fontId="4" fillId="0" borderId="0" xfId="2" applyBorder="1"/>
    <xf numFmtId="0" fontId="4" fillId="0" borderId="4" xfId="2" applyBorder="1"/>
    <xf numFmtId="0" fontId="4" fillId="0" borderId="5" xfId="2" applyBorder="1"/>
    <xf numFmtId="0" fontId="4" fillId="0" borderId="6" xfId="2" applyBorder="1"/>
    <xf numFmtId="0" fontId="4" fillId="0" borderId="7" xfId="2" applyBorder="1"/>
    <xf numFmtId="0" fontId="9" fillId="0" borderId="0" xfId="2" applyFont="1"/>
    <xf numFmtId="0" fontId="9" fillId="0" borderId="0" xfId="2" applyFont="1" applyBorder="1"/>
    <xf numFmtId="0" fontId="6" fillId="0" borderId="0" xfId="2" applyFont="1" applyBorder="1"/>
    <xf numFmtId="0" fontId="10" fillId="0" borderId="0" xfId="2" applyFont="1"/>
    <xf numFmtId="0" fontId="9" fillId="0" borderId="0" xfId="2" applyFont="1" applyAlignment="1">
      <alignment horizontal="center"/>
    </xf>
    <xf numFmtId="0" fontId="10" fillId="0" borderId="8" xfId="2" applyFont="1" applyBorder="1"/>
    <xf numFmtId="2" fontId="11" fillId="0" borderId="0" xfId="2" applyNumberFormat="1" applyFont="1" applyAlignment="1">
      <alignment horizontal="center"/>
    </xf>
    <xf numFmtId="0" fontId="12" fillId="0" borderId="0" xfId="2" applyFont="1"/>
    <xf numFmtId="164" fontId="4" fillId="0" borderId="0" xfId="2" applyNumberFormat="1"/>
    <xf numFmtId="2" fontId="4" fillId="0" borderId="0" xfId="2" applyNumberFormat="1"/>
    <xf numFmtId="165" fontId="4" fillId="0" borderId="0" xfId="2" applyNumberFormat="1"/>
    <xf numFmtId="0" fontId="13" fillId="0" borderId="0" xfId="2" applyFont="1"/>
    <xf numFmtId="0" fontId="4" fillId="0" borderId="8" xfId="2" applyBorder="1"/>
    <xf numFmtId="0" fontId="4" fillId="2" borderId="0" xfId="2" applyFill="1"/>
    <xf numFmtId="2" fontId="4" fillId="0" borderId="0" xfId="2" applyNumberFormat="1" applyFill="1"/>
    <xf numFmtId="0" fontId="4" fillId="0" borderId="0" xfId="2" applyBorder="1" applyAlignment="1">
      <alignment horizontal="center"/>
    </xf>
    <xf numFmtId="0" fontId="3" fillId="0" borderId="0" xfId="1" applyAlignment="1" applyProtection="1"/>
    <xf numFmtId="0" fontId="14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4" fillId="0" borderId="0" xfId="2" applyNumberFormat="1" applyAlignment="1">
      <alignment horizontal="right"/>
    </xf>
    <xf numFmtId="2" fontId="4" fillId="2" borderId="0" xfId="2" applyNumberFormat="1" applyFill="1" applyBorder="1" applyAlignment="1">
      <alignment horizontal="right"/>
    </xf>
    <xf numFmtId="2" fontId="4" fillId="2" borderId="0" xfId="2" applyNumberFormat="1" applyFill="1" applyAlignment="1">
      <alignment horizontal="right"/>
    </xf>
    <xf numFmtId="0" fontId="3" fillId="0" borderId="10" xfId="1" applyBorder="1" applyAlignment="1" applyProtection="1"/>
    <xf numFmtId="0" fontId="1" fillId="0" borderId="11" xfId="0" applyFont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4" fillId="0" borderId="0" xfId="2" applyFont="1"/>
    <xf numFmtId="0" fontId="4" fillId="0" borderId="0" xfId="2" applyFont="1" applyBorder="1" applyAlignment="1">
      <alignment horizontal="left"/>
    </xf>
    <xf numFmtId="0" fontId="1" fillId="0" borderId="11" xfId="0" applyFont="1" applyBorder="1"/>
  </cellXfs>
  <cellStyles count="3">
    <cellStyle name="Lien hypertexte" xfId="1" builtinId="8"/>
    <cellStyle name="Normal" xfId="0" builtinId="0"/>
    <cellStyle name="Normal_anova24.xls" xfId="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80245649948823"/>
          <c:y val="0.0649038461538461"/>
          <c:w val="0.897645854657114"/>
          <c:h val="0.817307692307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Solution!$H$68</c:f>
                <c:numCache>
                  <c:formatCode>General</c:formatCode>
                  <c:ptCount val="1"/>
                  <c:pt idx="0">
                    <c:v>4.328954177492929</c:v>
                  </c:pt>
                </c:numCache>
              </c:numRef>
            </c:plus>
            <c:minus>
              <c:numRef>
                <c:f>Solution!$H$68</c:f>
                <c:numCache>
                  <c:formatCode>General</c:formatCode>
                  <c:ptCount val="1"/>
                  <c:pt idx="0">
                    <c:v>4.328954177492929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1"/>
              <c:pt idx="0">
                <c:v>_x0008_catalase</c:v>
              </c:pt>
            </c:strLit>
          </c:cat>
          <c:val>
            <c:numRef>
              <c:f>Solution!$H$67</c:f>
              <c:numCache>
                <c:formatCode>0.00</c:formatCode>
                <c:ptCount val="1"/>
                <c:pt idx="0">
                  <c:v>121.99625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798008"/>
        <c:axId val="499807160"/>
      </c:barChart>
      <c:catAx>
        <c:axId val="49979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49980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980716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499798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/>
    <c:pageMargins b="0.984251969" l="0.787401575" r="0.787401575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98642505308852"/>
          <c:y val="0.0649038461538461"/>
          <c:w val="0.895507705871728"/>
          <c:h val="0.817307692307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calcul!$H$68</c:f>
                <c:numCache>
                  <c:formatCode>General</c:formatCode>
                  <c:ptCount val="1"/>
                  <c:pt idx="0">
                    <c:v>4.328954177492911</c:v>
                  </c:pt>
                </c:numCache>
              </c:numRef>
            </c:plus>
            <c:minus>
              <c:numRef>
                <c:f>calcul!$H$68</c:f>
                <c:numCache>
                  <c:formatCode>General</c:formatCode>
                  <c:ptCount val="1"/>
                  <c:pt idx="0">
                    <c:v>4.328954177492911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1"/>
              <c:pt idx="0">
                <c:v>_x0008_catalase</c:v>
              </c:pt>
            </c:strLit>
          </c:cat>
          <c:val>
            <c:numRef>
              <c:f>calcul!$H$67</c:f>
              <c:numCache>
                <c:formatCode>0.00</c:formatCode>
                <c:ptCount val="1"/>
                <c:pt idx="0">
                  <c:v>121.99625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53000"/>
        <c:axId val="503640744"/>
      </c:barChart>
      <c:catAx>
        <c:axId val="49985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50364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407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499853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/>
    <c:pageMargins b="0.984251969" l="0.787401575" r="0.787401575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117475</xdr:colOff>
      <xdr:row>1</xdr:row>
      <xdr:rowOff>85725</xdr:rowOff>
    </xdr:from>
    <xdr:to>
      <xdr:col>11</xdr:col>
      <xdr:colOff>127000</xdr:colOff>
      <xdr:row>33</xdr:row>
      <xdr:rowOff>193687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048125" y="276225"/>
          <a:ext cx="4352925" cy="6248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Pour déterminer le taux de catalase dans le foie de rat, un expérimentateur prélève le foie de 4 rats et  réalise 4 dosages sur chaque foie (Unité enzymatique : UA).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Avec l'aide des données ci dessous, réalisez les tests statistiques les plus adéquats, tirez les conclusions les plus complètes possibles.</a:t>
          </a:r>
        </a:p>
        <a:p>
          <a:pPr algn="l" rtl="0">
            <a:defRPr sz="1000"/>
          </a:pPr>
          <a:endParaRPr lang="fr-FR" sz="1800" b="0" i="0" u="none" strike="noStrike" baseline="0">
            <a:solidFill>
              <a:srgbClr val="0000D4"/>
            </a:solidFill>
            <a:latin typeface="Apple Chancery"/>
            <a:ea typeface="Apple Chancery"/>
            <a:cs typeface="Apple Chancery"/>
          </a:endParaRP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Calculez les valeurs suivantes: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Déterminez l'intervalle de confiance de la moyenne générale.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Calculez, pour une prochaine expérience, le nombre de dosages optimal à réaliser, en supposant le coût du rat 100 x supérieur au coût du dosage.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0000D4"/>
              </a:solidFill>
              <a:latin typeface="Apple Chancery"/>
              <a:ea typeface="Apple Chancery"/>
              <a:cs typeface="Apple Chancery"/>
            </a:rPr>
            <a:t>Estimez le nombre de rats nécessaire pour montrer, avec une confiance et une puissance de 95%, une différence de catalase de 5 UA.</a:t>
          </a:r>
        </a:p>
        <a:p>
          <a:pPr algn="l" rtl="0">
            <a:defRPr sz="1000"/>
          </a:pPr>
          <a:endParaRPr lang="fr-FR" sz="1800" b="0" i="0" u="none" strike="noStrike" baseline="0">
            <a:solidFill>
              <a:srgbClr val="0000D4"/>
            </a:solidFill>
            <a:latin typeface="Apple Chancery"/>
            <a:ea typeface="Apple Chancery"/>
            <a:cs typeface="Apple Chancery"/>
          </a:endParaRPr>
        </a:p>
      </xdr:txBody>
    </xdr:sp>
    <xdr:clientData/>
  </xdr:twoCellAnchor>
  <xdr:twoCellAnchor editAs="oneCell">
    <xdr:from>
      <xdr:col>0</xdr:col>
      <xdr:colOff>127000</xdr:colOff>
      <xdr:row>8</xdr:row>
      <xdr:rowOff>165100</xdr:rowOff>
    </xdr:from>
    <xdr:to>
      <xdr:col>4</xdr:col>
      <xdr:colOff>228600</xdr:colOff>
      <xdr:row>21</xdr:row>
      <xdr:rowOff>63500</xdr:rowOff>
    </xdr:to>
    <xdr:pic>
      <xdr:nvPicPr>
        <xdr:cNvPr id="10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790700"/>
          <a:ext cx="3771900" cy="2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72</xdr:row>
      <xdr:rowOff>76200</xdr:rowOff>
    </xdr:from>
    <xdr:to>
      <xdr:col>11</xdr:col>
      <xdr:colOff>228600</xdr:colOff>
      <xdr:row>96</xdr:row>
      <xdr:rowOff>152400</xdr:rowOff>
    </xdr:to>
    <xdr:graphicFrame macro="">
      <xdr:nvGraphicFramePr>
        <xdr:cNvPr id="2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72</xdr:row>
      <xdr:rowOff>76200</xdr:rowOff>
    </xdr:from>
    <xdr:to>
      <xdr:col>11</xdr:col>
      <xdr:colOff>228600</xdr:colOff>
      <xdr:row>96</xdr:row>
      <xdr:rowOff>152400</xdr:rowOff>
    </xdr:to>
    <xdr:graphicFrame macro="">
      <xdr:nvGraphicFramePr>
        <xdr:cNvPr id="3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rkyspest.com/rat_norway.html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://www.univ-orleans.fr/SCIENCES/BIOLOGIE/ressources/TPPV/TPdoc/TPcatalase.htm" TargetMode="External"/><Relationship Id="rId2" Type="http://schemas.openxmlformats.org/officeDocument/2006/relationships/hyperlink" Target="http://webcampus.fundp.ac.be/BIOSTAT/document/docbiostats/Charte_cop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ebcampus.fundp.ac.be/BIOSTAT/document/docbiostats/Charte_copy.pdf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ebcampus.fundp.ac.be/BIOSTAT/document/docbiostats/Charte_copy.pdf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A4" sqref="A4"/>
    </sheetView>
  </sheetViews>
  <sheetFormatPr baseColWidth="10" defaultRowHeight="16" x14ac:dyDescent="0"/>
  <cols>
    <col min="1" max="1" width="15.6640625" style="1" customWidth="1"/>
    <col min="2" max="16384" width="10.83203125" style="1"/>
  </cols>
  <sheetData>
    <row r="1" spans="1:18">
      <c r="A1" s="51" t="s">
        <v>2</v>
      </c>
      <c r="B1" s="61" t="s">
        <v>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52"/>
      <c r="O1" s="52"/>
      <c r="P1" s="52"/>
      <c r="Q1" s="52"/>
      <c r="R1" s="53"/>
    </row>
    <row r="2" spans="1:18">
      <c r="A2" s="2" t="s">
        <v>31</v>
      </c>
      <c r="B2" s="2" t="s">
        <v>32</v>
      </c>
      <c r="C2" s="2" t="s">
        <v>33</v>
      </c>
      <c r="D2" s="2" t="s">
        <v>34</v>
      </c>
    </row>
    <row r="3" spans="1:18">
      <c r="A3" s="4">
        <v>113.33</v>
      </c>
      <c r="B3" s="4">
        <v>114.42</v>
      </c>
      <c r="C3" s="4">
        <v>130.37</v>
      </c>
      <c r="D3" s="4">
        <v>127.17</v>
      </c>
    </row>
    <row r="4" spans="1:18">
      <c r="A4" s="4">
        <v>119.05</v>
      </c>
      <c r="B4" s="4">
        <v>111.89</v>
      </c>
      <c r="C4" s="4">
        <v>133.19</v>
      </c>
      <c r="D4" s="4">
        <v>128.5</v>
      </c>
    </row>
    <row r="5" spans="1:18">
      <c r="A5" s="4">
        <v>117.95</v>
      </c>
      <c r="B5" s="4">
        <v>113.75</v>
      </c>
      <c r="C5" s="4">
        <v>130.04</v>
      </c>
      <c r="D5" s="4">
        <v>125.44</v>
      </c>
    </row>
    <row r="6" spans="1:18">
      <c r="A6" s="4">
        <v>124.84</v>
      </c>
      <c r="B6" s="4">
        <v>105.93</v>
      </c>
      <c r="C6" s="4">
        <v>130.96</v>
      </c>
      <c r="D6" s="4">
        <v>125.11</v>
      </c>
    </row>
    <row r="16" spans="1:18" s="2" customFormat="1">
      <c r="B16" s="3"/>
      <c r="C16" s="3"/>
      <c r="D16" s="3"/>
      <c r="E16" s="3"/>
      <c r="F16" s="3"/>
      <c r="G16" s="1"/>
      <c r="H16" s="1"/>
    </row>
    <row r="17" spans="1:6">
      <c r="F17" s="4">
        <v>103.36</v>
      </c>
    </row>
    <row r="18" spans="1:6">
      <c r="A18" s="2"/>
      <c r="B18" s="3"/>
      <c r="C18" s="3"/>
      <c r="D18" s="3"/>
      <c r="E18" s="3"/>
      <c r="F18" s="4">
        <v>116.2</v>
      </c>
    </row>
    <row r="19" spans="1:6">
      <c r="F19" s="4">
        <v>137.36000000000001</v>
      </c>
    </row>
    <row r="20" spans="1:6">
      <c r="A20" s="2"/>
      <c r="B20" s="3"/>
      <c r="C20" s="3"/>
      <c r="D20" s="3"/>
      <c r="E20" s="3"/>
      <c r="F20" s="4">
        <v>121.01</v>
      </c>
    </row>
    <row r="22" spans="1:6">
      <c r="C22" s="3"/>
      <c r="D22" s="3"/>
      <c r="E22" s="3"/>
    </row>
    <row r="23" spans="1:6">
      <c r="A23" s="34" t="s">
        <v>9</v>
      </c>
    </row>
    <row r="24" spans="1:6">
      <c r="A24" s="2"/>
      <c r="B24" s="35" t="s">
        <v>30</v>
      </c>
      <c r="C24" s="3"/>
      <c r="D24" s="3"/>
      <c r="E24" s="3"/>
    </row>
    <row r="25" spans="1:6">
      <c r="B25" s="34" t="s">
        <v>29</v>
      </c>
    </row>
  </sheetData>
  <mergeCells count="1">
    <mergeCell ref="B1:M1"/>
  </mergeCells>
  <phoneticPr fontId="0" type="noConversion"/>
  <hyperlinks>
    <hyperlink ref="B25" r:id="rId1"/>
    <hyperlink ref="A1" r:id="rId2" display="http://webcampus.fundp.ac.be/BIOSTAT/document/docbiostats/Charte_copy.pdf"/>
    <hyperlink ref="A23" r:id="rId3"/>
  </hyperlinks>
  <pageMargins left="0.78740157499999996" right="0.78740157499999996" top="0.984251969" bottom="0.984251969" header="0.4921259845" footer="0.492125984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opLeftCell="B35" workbookViewId="0">
      <selection activeCell="J71" sqref="J71"/>
    </sheetView>
  </sheetViews>
  <sheetFormatPr baseColWidth="10" defaultColWidth="12.5" defaultRowHeight="13" x14ac:dyDescent="0"/>
  <cols>
    <col min="1" max="1" width="12.5" style="9" hidden="1" customWidth="1"/>
    <col min="2" max="2" width="18.1640625" style="9" customWidth="1"/>
    <col min="3" max="3" width="12.5" style="9" customWidth="1"/>
    <col min="4" max="6" width="13.5" style="9" bestFit="1" customWidth="1"/>
    <col min="7" max="7" width="13" style="9" bestFit="1" customWidth="1"/>
    <col min="8" max="8" width="12.5" style="9" customWidth="1"/>
    <col min="9" max="11" width="13.83203125" style="9" customWidth="1"/>
    <col min="12" max="16384" width="12.5" style="9"/>
  </cols>
  <sheetData>
    <row r="1" spans="2:19" ht="16">
      <c r="B1" s="51" t="s">
        <v>2</v>
      </c>
      <c r="C1" s="61" t="s">
        <v>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2"/>
      <c r="P1" s="52"/>
      <c r="Q1" s="52"/>
      <c r="R1" s="52"/>
      <c r="S1" s="53"/>
    </row>
    <row r="2" spans="2:19" s="5" customFormat="1" ht="23">
      <c r="C2" s="6" t="s">
        <v>1</v>
      </c>
    </row>
    <row r="3" spans="2:19" s="7" customFormat="1" ht="16">
      <c r="C3" s="8" t="s">
        <v>35</v>
      </c>
    </row>
    <row r="4" spans="2:19" ht="14" thickBot="1"/>
    <row r="5" spans="2:19" ht="17" thickBot="1">
      <c r="C5" s="42" t="s">
        <v>31</v>
      </c>
      <c r="D5" s="43" t="s">
        <v>32</v>
      </c>
      <c r="E5" s="43" t="s">
        <v>33</v>
      </c>
      <c r="F5" s="44" t="s">
        <v>34</v>
      </c>
      <c r="J5" s="9" t="s">
        <v>36</v>
      </c>
    </row>
    <row r="6" spans="2:19" ht="16">
      <c r="B6" s="9">
        <v>1</v>
      </c>
      <c r="C6" s="36">
        <v>113.33</v>
      </c>
      <c r="D6" s="37">
        <v>114.42</v>
      </c>
      <c r="E6" s="37">
        <v>130.37</v>
      </c>
      <c r="F6" s="38">
        <v>127.17</v>
      </c>
      <c r="G6" s="10"/>
      <c r="H6" s="10"/>
      <c r="I6" s="11"/>
      <c r="J6" s="9">
        <v>4</v>
      </c>
    </row>
    <row r="7" spans="2:19" ht="16">
      <c r="B7" s="9">
        <v>2</v>
      </c>
      <c r="C7" s="39">
        <v>119.05</v>
      </c>
      <c r="D7" s="40">
        <v>111.89</v>
      </c>
      <c r="E7" s="40">
        <v>133.19</v>
      </c>
      <c r="F7" s="41">
        <v>128.5</v>
      </c>
      <c r="G7" s="13"/>
      <c r="H7" s="13"/>
      <c r="I7" s="14"/>
    </row>
    <row r="8" spans="2:19" ht="16">
      <c r="B8" s="9">
        <v>3</v>
      </c>
      <c r="C8" s="39">
        <v>117.95</v>
      </c>
      <c r="D8" s="40">
        <v>113.75</v>
      </c>
      <c r="E8" s="40">
        <v>130.04</v>
      </c>
      <c r="F8" s="41">
        <v>125.44</v>
      </c>
      <c r="G8" s="13"/>
      <c r="H8" s="13"/>
      <c r="I8" s="14"/>
    </row>
    <row r="9" spans="2:19" ht="17" thickBot="1">
      <c r="B9" s="9">
        <v>4</v>
      </c>
      <c r="C9" s="45">
        <v>124.84</v>
      </c>
      <c r="D9" s="46">
        <v>105.93</v>
      </c>
      <c r="E9" s="46">
        <v>130.96</v>
      </c>
      <c r="F9" s="47">
        <v>125.11</v>
      </c>
      <c r="G9" s="13"/>
      <c r="H9" s="13"/>
      <c r="I9" s="14"/>
    </row>
    <row r="10" spans="2:19">
      <c r="B10" s="9">
        <v>5</v>
      </c>
      <c r="C10" s="12"/>
      <c r="D10" s="13"/>
      <c r="E10" s="13"/>
      <c r="F10" s="13"/>
      <c r="G10" s="13"/>
      <c r="H10" s="13"/>
      <c r="I10" s="14"/>
    </row>
    <row r="11" spans="2:19">
      <c r="B11" s="9">
        <v>6</v>
      </c>
      <c r="C11" s="12"/>
      <c r="D11" s="13"/>
      <c r="E11" s="13"/>
      <c r="F11" s="13"/>
      <c r="G11" s="13"/>
      <c r="H11" s="13"/>
      <c r="I11" s="14"/>
    </row>
    <row r="12" spans="2:19">
      <c r="B12" s="9">
        <v>7</v>
      </c>
      <c r="C12" s="12"/>
      <c r="D12" s="13"/>
      <c r="E12" s="13"/>
      <c r="F12" s="13"/>
      <c r="G12" s="13"/>
      <c r="H12" s="13"/>
      <c r="I12" s="14"/>
    </row>
    <row r="13" spans="2:19">
      <c r="B13" s="9">
        <v>8</v>
      </c>
      <c r="C13" s="12"/>
      <c r="D13" s="13"/>
      <c r="E13" s="13"/>
      <c r="F13" s="13"/>
      <c r="G13" s="13"/>
      <c r="H13" s="13"/>
      <c r="I13" s="14"/>
    </row>
    <row r="14" spans="2:19">
      <c r="B14" s="9">
        <v>9</v>
      </c>
      <c r="C14" s="12"/>
      <c r="D14" s="13"/>
      <c r="E14" s="13"/>
      <c r="F14" s="13"/>
      <c r="G14" s="13"/>
      <c r="H14" s="13"/>
      <c r="I14" s="14"/>
    </row>
    <row r="15" spans="2:19">
      <c r="B15" s="9">
        <v>10</v>
      </c>
      <c r="C15" s="12"/>
      <c r="D15" s="13"/>
      <c r="E15" s="13"/>
      <c r="F15" s="13"/>
      <c r="G15" s="13"/>
      <c r="H15" s="13"/>
      <c r="I15" s="14"/>
    </row>
    <row r="16" spans="2:19">
      <c r="B16" s="9">
        <v>11</v>
      </c>
      <c r="C16" s="12"/>
      <c r="D16" s="13"/>
      <c r="E16" s="13"/>
      <c r="F16" s="13"/>
      <c r="G16" s="13"/>
      <c r="H16" s="13"/>
      <c r="I16" s="14"/>
    </row>
    <row r="17" spans="2:11">
      <c r="B17" s="9">
        <v>12</v>
      </c>
      <c r="C17" s="12"/>
      <c r="D17" s="13"/>
      <c r="E17" s="13"/>
      <c r="F17" s="13"/>
      <c r="G17" s="13"/>
      <c r="H17" s="13"/>
      <c r="I17" s="14"/>
    </row>
    <row r="18" spans="2:11">
      <c r="B18" s="9">
        <v>13</v>
      </c>
      <c r="C18" s="12"/>
      <c r="D18" s="13"/>
      <c r="E18" s="13"/>
      <c r="F18" s="13"/>
      <c r="G18" s="13"/>
      <c r="H18" s="13"/>
      <c r="I18" s="14"/>
    </row>
    <row r="19" spans="2:11">
      <c r="B19" s="9">
        <v>14</v>
      </c>
      <c r="C19" s="12"/>
      <c r="D19" s="13"/>
      <c r="E19" s="13"/>
      <c r="F19" s="13"/>
      <c r="G19" s="13"/>
      <c r="H19" s="13"/>
      <c r="I19" s="14"/>
    </row>
    <row r="20" spans="2:11">
      <c r="B20" s="9">
        <v>15</v>
      </c>
      <c r="C20" s="12"/>
      <c r="D20" s="13"/>
      <c r="E20" s="13"/>
      <c r="F20" s="13"/>
      <c r="G20" s="13"/>
      <c r="H20" s="13"/>
      <c r="I20" s="14"/>
    </row>
    <row r="21" spans="2:11">
      <c r="B21" s="9">
        <v>16</v>
      </c>
      <c r="C21" s="12"/>
      <c r="D21" s="13"/>
      <c r="E21" s="13"/>
      <c r="F21" s="13"/>
      <c r="G21" s="13"/>
      <c r="H21" s="13"/>
      <c r="I21" s="14"/>
    </row>
    <row r="22" spans="2:11">
      <c r="B22" s="9">
        <v>17</v>
      </c>
      <c r="C22" s="12"/>
      <c r="D22" s="13"/>
      <c r="E22" s="13"/>
      <c r="F22" s="13"/>
      <c r="G22" s="13"/>
      <c r="H22" s="13"/>
      <c r="I22" s="14"/>
    </row>
    <row r="23" spans="2:11">
      <c r="B23" s="9">
        <v>18</v>
      </c>
      <c r="C23" s="12"/>
      <c r="D23" s="13"/>
      <c r="E23" s="13"/>
      <c r="F23" s="13"/>
      <c r="G23" s="13"/>
      <c r="H23" s="13"/>
      <c r="I23" s="14"/>
    </row>
    <row r="24" spans="2:11">
      <c r="B24" s="9">
        <v>19</v>
      </c>
      <c r="C24" s="12"/>
      <c r="D24" s="13"/>
      <c r="E24" s="13"/>
      <c r="F24" s="13"/>
      <c r="G24" s="13"/>
      <c r="H24" s="13"/>
      <c r="I24" s="14"/>
    </row>
    <row r="25" spans="2:11" ht="14" thickBot="1">
      <c r="B25" s="9">
        <v>20</v>
      </c>
      <c r="C25" s="15"/>
      <c r="D25" s="16"/>
      <c r="E25" s="16"/>
      <c r="F25" s="16"/>
      <c r="G25" s="16"/>
      <c r="H25" s="16"/>
      <c r="I25" s="17"/>
    </row>
    <row r="26" spans="2:11" s="18" customFormat="1" hidden="1"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9">
        <v>0</v>
      </c>
    </row>
    <row r="27" spans="2:11">
      <c r="B27" s="9" t="s">
        <v>37</v>
      </c>
      <c r="C27" s="9">
        <v>4</v>
      </c>
      <c r="D27" s="9">
        <v>4</v>
      </c>
      <c r="E27" s="9">
        <v>4</v>
      </c>
      <c r="F27" s="9">
        <v>4</v>
      </c>
      <c r="G27" s="9">
        <v>0</v>
      </c>
      <c r="H27" s="9">
        <v>0</v>
      </c>
      <c r="I27" s="9">
        <v>0</v>
      </c>
      <c r="J27" s="9">
        <v>16</v>
      </c>
      <c r="K27" s="9">
        <v>1</v>
      </c>
    </row>
    <row r="28" spans="2:11" hidden="1">
      <c r="B28" s="9" t="s">
        <v>38</v>
      </c>
      <c r="C28" s="9">
        <v>3</v>
      </c>
      <c r="D28" s="9">
        <v>3</v>
      </c>
      <c r="E28" s="9">
        <v>3</v>
      </c>
      <c r="F28" s="9">
        <v>3</v>
      </c>
      <c r="G28" s="9" t="s">
        <v>8</v>
      </c>
      <c r="H28" s="9" t="s">
        <v>8</v>
      </c>
      <c r="I28" s="9" t="s">
        <v>8</v>
      </c>
      <c r="J28" s="9">
        <v>12</v>
      </c>
    </row>
    <row r="29" spans="2:11" s="7" customFormat="1" ht="16">
      <c r="B29" s="7" t="s">
        <v>39</v>
      </c>
      <c r="C29" s="7">
        <v>118.7925</v>
      </c>
      <c r="D29" s="7">
        <v>111.4975</v>
      </c>
      <c r="E29" s="7">
        <v>131.13999999999999</v>
      </c>
      <c r="F29" s="7">
        <v>126.55500000000001</v>
      </c>
      <c r="G29" s="7" t="s">
        <v>8</v>
      </c>
      <c r="H29" s="7" t="s">
        <v>8</v>
      </c>
      <c r="I29" s="7" t="s">
        <v>8</v>
      </c>
      <c r="J29" s="7">
        <v>121.99625</v>
      </c>
    </row>
    <row r="30" spans="2:11" s="7" customFormat="1" ht="16">
      <c r="B30" s="7" t="s">
        <v>40</v>
      </c>
      <c r="C30" s="7">
        <v>22.395758333333351</v>
      </c>
      <c r="D30" s="7">
        <v>14.921958333333313</v>
      </c>
      <c r="E30" s="7">
        <v>2.0125999999999995</v>
      </c>
      <c r="F30" s="7">
        <v>2.4975000000000001</v>
      </c>
      <c r="G30" s="7" t="s">
        <v>8</v>
      </c>
      <c r="H30" s="7" t="s">
        <v>8</v>
      </c>
      <c r="I30" s="7" t="s">
        <v>8</v>
      </c>
    </row>
    <row r="31" spans="2:11" hidden="1">
      <c r="B31" s="9" t="s">
        <v>41</v>
      </c>
      <c r="C31" s="9">
        <v>67.187275000000056</v>
      </c>
      <c r="D31" s="9">
        <v>44.765874999999937</v>
      </c>
      <c r="E31" s="9">
        <v>6.0377999999999989</v>
      </c>
      <c r="F31" s="9">
        <v>7.4925000000000086</v>
      </c>
      <c r="G31" s="9" t="s">
        <v>8</v>
      </c>
      <c r="H31" s="9" t="s">
        <v>8</v>
      </c>
      <c r="I31" s="9" t="s">
        <v>8</v>
      </c>
      <c r="J31" s="9">
        <v>125.48345</v>
      </c>
    </row>
    <row r="32" spans="2:11">
      <c r="B32" s="9" t="s">
        <v>42</v>
      </c>
      <c r="C32" s="9">
        <v>10.456954166666668</v>
      </c>
    </row>
    <row r="33" spans="2:10" ht="23">
      <c r="D33" s="20" t="s">
        <v>8</v>
      </c>
    </row>
    <row r="34" spans="2:10" s="21" customFormat="1" ht="23">
      <c r="C34" s="20" t="s">
        <v>8</v>
      </c>
      <c r="D34" s="20" t="s">
        <v>8</v>
      </c>
    </row>
    <row r="35" spans="2:10" s="21" customFormat="1" ht="23">
      <c r="B35" s="5" t="s">
        <v>43</v>
      </c>
      <c r="C35" s="20"/>
    </row>
    <row r="36" spans="2:10" s="21" customFormat="1" ht="23">
      <c r="C36" s="18" t="s">
        <v>44</v>
      </c>
    </row>
    <row r="37" spans="2:10" s="21" customFormat="1" ht="23">
      <c r="C37" s="18" t="s">
        <v>10</v>
      </c>
      <c r="G37" s="22" t="s">
        <v>36</v>
      </c>
      <c r="H37" s="22" t="s">
        <v>37</v>
      </c>
      <c r="I37" s="22" t="s">
        <v>6</v>
      </c>
      <c r="J37" s="21" t="s">
        <v>45</v>
      </c>
    </row>
    <row r="38" spans="2:10" s="21" customFormat="1" ht="23">
      <c r="C38" s="18" t="s">
        <v>11</v>
      </c>
      <c r="G38" s="22">
        <v>4</v>
      </c>
      <c r="H38" s="22">
        <v>4</v>
      </c>
      <c r="I38" s="22">
        <v>3</v>
      </c>
      <c r="J38" s="23">
        <v>39.200000000000003</v>
      </c>
    </row>
    <row r="39" spans="2:10" s="21" customFormat="1" ht="23">
      <c r="C39" s="18" t="s">
        <v>12</v>
      </c>
      <c r="J39" s="24">
        <v>11.12777418927425</v>
      </c>
    </row>
    <row r="40" spans="2:10" s="21" customFormat="1" ht="23">
      <c r="C40" s="18" t="s">
        <v>54</v>
      </c>
      <c r="F40" s="18" t="s">
        <v>7</v>
      </c>
    </row>
    <row r="41" spans="2:10" s="21" customFormat="1" ht="23">
      <c r="B41" s="54" t="s">
        <v>4</v>
      </c>
      <c r="C41"/>
      <c r="D41"/>
      <c r="E41"/>
      <c r="F41"/>
      <c r="G41"/>
    </row>
    <row r="42" spans="2:10" s="21" customFormat="1" ht="23">
      <c r="B42"/>
      <c r="C42" s="55" t="s">
        <v>5</v>
      </c>
      <c r="D42" s="55" t="s">
        <v>6</v>
      </c>
      <c r="E42" s="55" t="s">
        <v>50</v>
      </c>
      <c r="F42"/>
      <c r="G42"/>
    </row>
    <row r="43" spans="2:10" s="21" customFormat="1" ht="23">
      <c r="B43"/>
      <c r="C43" s="56">
        <v>5.1698963529589994</v>
      </c>
      <c r="D43" s="55">
        <v>3</v>
      </c>
      <c r="E43" s="57">
        <v>0.15977091106112387</v>
      </c>
      <c r="F43"/>
      <c r="G43"/>
    </row>
    <row r="44" spans="2:10" s="21" customFormat="1" ht="23">
      <c r="B44"/>
      <c r="C44" s="58" t="s">
        <v>54</v>
      </c>
      <c r="D44"/>
      <c r="E44" s="58" t="s">
        <v>7</v>
      </c>
      <c r="F44"/>
      <c r="G44"/>
    </row>
    <row r="45" spans="2:10" s="5" customFormat="1" ht="23">
      <c r="B45" s="5" t="s">
        <v>46</v>
      </c>
    </row>
    <row r="46" spans="2:10">
      <c r="C46" s="9" t="s">
        <v>41</v>
      </c>
      <c r="D46" s="9" t="s">
        <v>47</v>
      </c>
      <c r="E46" s="9" t="s">
        <v>48</v>
      </c>
      <c r="F46" s="9" t="s">
        <v>49</v>
      </c>
      <c r="G46" s="9" t="s">
        <v>50</v>
      </c>
    </row>
    <row r="47" spans="2:10">
      <c r="B47" s="9" t="s">
        <v>51</v>
      </c>
      <c r="C47" s="26">
        <v>1024.9959749999998</v>
      </c>
      <c r="D47" s="9">
        <v>15</v>
      </c>
    </row>
    <row r="48" spans="2:10">
      <c r="B48" s="9" t="s">
        <v>52</v>
      </c>
      <c r="C48" s="26">
        <v>899.51252499999987</v>
      </c>
      <c r="D48" s="9">
        <v>3</v>
      </c>
      <c r="E48" s="27">
        <v>299.83750833333329</v>
      </c>
      <c r="F48" s="27">
        <v>28.673503159181543</v>
      </c>
      <c r="G48" s="28">
        <v>9.340135831597313E-6</v>
      </c>
      <c r="H48" s="9" t="s">
        <v>13</v>
      </c>
    </row>
    <row r="49" spans="2:9">
      <c r="B49" s="9" t="s">
        <v>53</v>
      </c>
      <c r="C49" s="26">
        <v>125.48345</v>
      </c>
      <c r="D49" s="9">
        <v>12</v>
      </c>
      <c r="E49" s="27">
        <v>10.456954166666668</v>
      </c>
      <c r="F49" s="27"/>
      <c r="G49" s="27"/>
    </row>
    <row r="51" spans="2:9" s="18" customFormat="1">
      <c r="B51" s="29" t="s">
        <v>54</v>
      </c>
      <c r="D51" s="18" t="s">
        <v>14</v>
      </c>
    </row>
    <row r="52" spans="2:9">
      <c r="D52" s="18" t="s">
        <v>8</v>
      </c>
    </row>
    <row r="53" spans="2:9">
      <c r="B53" s="18" t="s">
        <v>15</v>
      </c>
      <c r="H53" s="27">
        <v>72.345138541667438</v>
      </c>
    </row>
    <row r="54" spans="2:9">
      <c r="B54" s="18" t="s">
        <v>16</v>
      </c>
      <c r="H54" s="27">
        <v>10.456954166666037</v>
      </c>
    </row>
    <row r="55" spans="2:9">
      <c r="B55" s="18" t="s">
        <v>17</v>
      </c>
      <c r="H55" s="30">
        <v>100</v>
      </c>
    </row>
    <row r="56" spans="2:9" hidden="1">
      <c r="B56" s="18" t="s">
        <v>18</v>
      </c>
      <c r="H56" s="30"/>
    </row>
    <row r="57" spans="2:9" hidden="1">
      <c r="B57" s="18" t="s">
        <v>18</v>
      </c>
      <c r="H57" s="30"/>
    </row>
    <row r="58" spans="2:9">
      <c r="B58" s="18" t="s">
        <v>19</v>
      </c>
      <c r="H58" s="30">
        <v>1</v>
      </c>
    </row>
    <row r="59" spans="2:9">
      <c r="B59" s="29" t="s">
        <v>20</v>
      </c>
      <c r="H59" s="9">
        <v>3.8018758063385576</v>
      </c>
      <c r="I59" s="31">
        <v>4</v>
      </c>
    </row>
    <row r="60" spans="2:9">
      <c r="B60" s="18"/>
    </row>
    <row r="61" spans="2:9">
      <c r="B61" s="18" t="s">
        <v>21</v>
      </c>
      <c r="H61" s="30">
        <v>5</v>
      </c>
    </row>
    <row r="62" spans="2:9">
      <c r="B62" s="29" t="s">
        <v>22</v>
      </c>
      <c r="H62" s="32">
        <v>47.974001333333327</v>
      </c>
      <c r="I62" s="31">
        <v>48</v>
      </c>
    </row>
    <row r="64" spans="2:9">
      <c r="B64" s="18"/>
    </row>
    <row r="65" spans="2:10">
      <c r="B65" s="29" t="s">
        <v>23</v>
      </c>
    </row>
    <row r="66" spans="2:10">
      <c r="B66" s="18"/>
      <c r="E66" s="18" t="s">
        <v>24</v>
      </c>
      <c r="H66" s="27">
        <v>3.1824463048868799</v>
      </c>
    </row>
    <row r="67" spans="2:10">
      <c r="B67" s="18"/>
      <c r="E67" s="18" t="s">
        <v>25</v>
      </c>
      <c r="H67" s="50">
        <v>121.99625</v>
      </c>
    </row>
    <row r="68" spans="2:10">
      <c r="E68" s="18" t="s">
        <v>26</v>
      </c>
      <c r="H68" s="48">
        <v>4.3289541774929292</v>
      </c>
    </row>
    <row r="69" spans="2:10">
      <c r="D69" s="18" t="s">
        <v>27</v>
      </c>
      <c r="F69" s="33"/>
      <c r="G69" s="33"/>
      <c r="H69" s="49">
        <v>108.21958577381301</v>
      </c>
      <c r="I69" s="33"/>
      <c r="J69" s="33"/>
    </row>
    <row r="70" spans="2:10">
      <c r="D70" s="18" t="s">
        <v>28</v>
      </c>
      <c r="H70" s="50">
        <v>135.772914226187</v>
      </c>
    </row>
    <row r="72" spans="2:10" s="5" customFormat="1" ht="23">
      <c r="B72" s="5" t="s">
        <v>55</v>
      </c>
    </row>
    <row r="74" spans="2:10">
      <c r="B74" s="9" t="s">
        <v>56</v>
      </c>
      <c r="C74" s="9">
        <v>2.1788128271650695</v>
      </c>
    </row>
    <row r="75" spans="2:10">
      <c r="B75" s="9" t="s">
        <v>57</v>
      </c>
      <c r="C75" s="9">
        <v>3.5228368453385159</v>
      </c>
      <c r="D75" s="9">
        <v>3.5228368453385159</v>
      </c>
      <c r="E75" s="9">
        <v>3.5228368453385159</v>
      </c>
      <c r="F75" s="9">
        <v>3.5228368453385159</v>
      </c>
      <c r="G75" s="9">
        <v>0</v>
      </c>
      <c r="H75" s="9">
        <v>0</v>
      </c>
      <c r="I75" s="9">
        <v>0</v>
      </c>
    </row>
    <row r="100" spans="3:3" s="25" customFormat="1" ht="16">
      <c r="C100" s="25" t="s">
        <v>58</v>
      </c>
    </row>
    <row r="101" spans="3:3" s="25" customFormat="1" ht="16">
      <c r="C101" s="25" t="s">
        <v>59</v>
      </c>
    </row>
    <row r="102" spans="3:3" s="25" customFormat="1" ht="16">
      <c r="C102" s="25" t="s">
        <v>60</v>
      </c>
    </row>
    <row r="105" spans="3:3" ht="16">
      <c r="C105" s="25" t="s">
        <v>61</v>
      </c>
    </row>
    <row r="106" spans="3:3" ht="16">
      <c r="C106" s="25"/>
    </row>
    <row r="107" spans="3:3" ht="16">
      <c r="C107" s="25" t="s">
        <v>0</v>
      </c>
    </row>
    <row r="108" spans="3:3" ht="16">
      <c r="C108" s="25"/>
    </row>
  </sheetData>
  <mergeCells count="1">
    <mergeCell ref="C1:N1"/>
  </mergeCells>
  <phoneticPr fontId="0"/>
  <hyperlinks>
    <hyperlink ref="B1" r:id="rId1" display="http://webcampus.fundp.ac.be/BIOSTAT/document/docbiostats/Charte_copy.pdf"/>
  </hyperlinks>
  <pageMargins left="0.78740157499999996" right="0.78740157499999996" top="0.984251969" bottom="0.984251969" header="0.4921259845" footer="0.4921259845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topLeftCell="B37" workbookViewId="0">
      <selection activeCell="I48" sqref="I48"/>
    </sheetView>
  </sheetViews>
  <sheetFormatPr baseColWidth="10" defaultColWidth="12.5" defaultRowHeight="13" x14ac:dyDescent="0"/>
  <cols>
    <col min="1" max="1" width="12.5" style="9" hidden="1" customWidth="1"/>
    <col min="2" max="2" width="15.33203125" style="9" customWidth="1"/>
    <col min="3" max="3" width="12.5" style="9" customWidth="1"/>
    <col min="4" max="6" width="13.5" style="9" customWidth="1"/>
    <col min="7" max="7" width="13" style="9" customWidth="1"/>
    <col min="8" max="8" width="12.5" style="9" customWidth="1"/>
    <col min="9" max="11" width="13.83203125" style="9" customWidth="1"/>
    <col min="12" max="16384" width="12.5" style="9"/>
  </cols>
  <sheetData>
    <row r="1" spans="2:19" ht="16">
      <c r="B1" s="51" t="s">
        <v>2</v>
      </c>
      <c r="C1" s="61" t="s">
        <v>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2"/>
      <c r="P1" s="52"/>
      <c r="Q1" s="52"/>
      <c r="R1" s="52"/>
      <c r="S1" s="53"/>
    </row>
    <row r="2" spans="2:19" s="5" customFormat="1" ht="23">
      <c r="C2" s="6" t="s">
        <v>1</v>
      </c>
    </row>
    <row r="3" spans="2:19" s="7" customFormat="1" ht="16">
      <c r="C3" s="8" t="s">
        <v>35</v>
      </c>
    </row>
    <row r="4" spans="2:19" ht="14" thickBot="1"/>
    <row r="5" spans="2:19" ht="17" thickBot="1">
      <c r="C5" s="42" t="s">
        <v>31</v>
      </c>
      <c r="D5" s="43" t="s">
        <v>32</v>
      </c>
      <c r="E5" s="43" t="s">
        <v>33</v>
      </c>
      <c r="F5" s="44" t="s">
        <v>34</v>
      </c>
      <c r="J5" s="9" t="s">
        <v>36</v>
      </c>
    </row>
    <row r="6" spans="2:19" ht="16">
      <c r="B6" s="9">
        <v>1</v>
      </c>
      <c r="C6" s="36">
        <v>113.33</v>
      </c>
      <c r="D6" s="37">
        <v>114.42</v>
      </c>
      <c r="E6" s="37">
        <v>130.37</v>
      </c>
      <c r="F6" s="38">
        <v>127.17</v>
      </c>
      <c r="G6" s="10"/>
      <c r="H6" s="10"/>
      <c r="I6" s="11"/>
      <c r="J6" s="9">
        <f>COUNTA(C6:I6)</f>
        <v>4</v>
      </c>
    </row>
    <row r="7" spans="2:19" ht="16">
      <c r="B7" s="9">
        <v>2</v>
      </c>
      <c r="C7" s="39">
        <v>119.05</v>
      </c>
      <c r="D7" s="40">
        <v>111.89</v>
      </c>
      <c r="E7" s="40">
        <v>133.19</v>
      </c>
      <c r="F7" s="41">
        <v>128.5</v>
      </c>
      <c r="G7" s="13"/>
      <c r="H7" s="13"/>
      <c r="I7" s="14"/>
    </row>
    <row r="8" spans="2:19" ht="16">
      <c r="B8" s="9">
        <v>3</v>
      </c>
      <c r="C8" s="39">
        <v>117.95</v>
      </c>
      <c r="D8" s="40">
        <v>113.75</v>
      </c>
      <c r="E8" s="40">
        <v>130.04</v>
      </c>
      <c r="F8" s="41">
        <v>125.44</v>
      </c>
      <c r="G8" s="13"/>
      <c r="H8" s="13"/>
      <c r="I8" s="14"/>
    </row>
    <row r="9" spans="2:19" ht="17" thickBot="1">
      <c r="B9" s="9">
        <v>4</v>
      </c>
      <c r="C9" s="45">
        <v>124.84</v>
      </c>
      <c r="D9" s="46">
        <v>105.93</v>
      </c>
      <c r="E9" s="46">
        <v>130.96</v>
      </c>
      <c r="F9" s="47">
        <v>125.11</v>
      </c>
      <c r="G9" s="13"/>
      <c r="H9" s="13"/>
      <c r="I9" s="14"/>
    </row>
    <row r="10" spans="2:19">
      <c r="B10" s="9">
        <v>5</v>
      </c>
      <c r="C10" s="12"/>
      <c r="D10" s="13"/>
      <c r="E10" s="13"/>
      <c r="F10" s="13"/>
      <c r="G10" s="13"/>
      <c r="H10" s="13"/>
      <c r="I10" s="14"/>
    </row>
    <row r="11" spans="2:19">
      <c r="B11" s="9">
        <v>6</v>
      </c>
      <c r="C11" s="12"/>
      <c r="D11" s="13"/>
      <c r="E11" s="13"/>
      <c r="F11" s="13"/>
      <c r="G11" s="13"/>
      <c r="H11" s="13"/>
      <c r="I11" s="14"/>
    </row>
    <row r="12" spans="2:19">
      <c r="B12" s="9">
        <v>7</v>
      </c>
      <c r="C12" s="12"/>
      <c r="D12" s="13"/>
      <c r="E12" s="13"/>
      <c r="F12" s="13"/>
      <c r="G12" s="13"/>
      <c r="H12" s="13"/>
      <c r="I12" s="14"/>
    </row>
    <row r="13" spans="2:19">
      <c r="B13" s="9">
        <v>8</v>
      </c>
      <c r="C13" s="12"/>
      <c r="D13" s="13"/>
      <c r="E13" s="13"/>
      <c r="F13" s="13"/>
      <c r="G13" s="13"/>
      <c r="H13" s="13"/>
      <c r="I13" s="14"/>
    </row>
    <row r="14" spans="2:19">
      <c r="B14" s="9">
        <v>9</v>
      </c>
      <c r="C14" s="12"/>
      <c r="D14" s="13"/>
      <c r="E14" s="13"/>
      <c r="F14" s="13"/>
      <c r="G14" s="13"/>
      <c r="H14" s="13"/>
      <c r="I14" s="14"/>
    </row>
    <row r="15" spans="2:19">
      <c r="B15" s="9">
        <v>10</v>
      </c>
      <c r="C15" s="12"/>
      <c r="D15" s="13"/>
      <c r="E15" s="13"/>
      <c r="F15" s="13"/>
      <c r="G15" s="13"/>
      <c r="H15" s="13"/>
      <c r="I15" s="14"/>
    </row>
    <row r="16" spans="2:19">
      <c r="B16" s="9">
        <v>11</v>
      </c>
      <c r="C16" s="12"/>
      <c r="D16" s="13"/>
      <c r="E16" s="13"/>
      <c r="F16" s="13"/>
      <c r="G16" s="13"/>
      <c r="H16" s="13"/>
      <c r="I16" s="14"/>
    </row>
    <row r="17" spans="2:11">
      <c r="B17" s="9">
        <v>12</v>
      </c>
      <c r="C17" s="12"/>
      <c r="D17" s="13"/>
      <c r="E17" s="13"/>
      <c r="F17" s="13"/>
      <c r="G17" s="13"/>
      <c r="H17" s="13"/>
      <c r="I17" s="14"/>
    </row>
    <row r="18" spans="2:11">
      <c r="B18" s="9">
        <v>13</v>
      </c>
      <c r="C18" s="12"/>
      <c r="D18" s="13"/>
      <c r="E18" s="13"/>
      <c r="F18" s="13"/>
      <c r="G18" s="13"/>
      <c r="H18" s="13"/>
      <c r="I18" s="14"/>
    </row>
    <row r="19" spans="2:11">
      <c r="B19" s="9">
        <v>14</v>
      </c>
      <c r="C19" s="12"/>
      <c r="D19" s="13"/>
      <c r="E19" s="13"/>
      <c r="F19" s="13"/>
      <c r="G19" s="13"/>
      <c r="H19" s="13"/>
      <c r="I19" s="14"/>
    </row>
    <row r="20" spans="2:11">
      <c r="B20" s="9">
        <v>15</v>
      </c>
      <c r="C20" s="12"/>
      <c r="D20" s="13"/>
      <c r="E20" s="13"/>
      <c r="F20" s="13"/>
      <c r="G20" s="13"/>
      <c r="H20" s="13"/>
      <c r="I20" s="14"/>
    </row>
    <row r="21" spans="2:11">
      <c r="B21" s="9">
        <v>16</v>
      </c>
      <c r="C21" s="12"/>
      <c r="D21" s="13"/>
      <c r="E21" s="13"/>
      <c r="F21" s="13"/>
      <c r="G21" s="13"/>
      <c r="H21" s="13"/>
      <c r="I21" s="14"/>
    </row>
    <row r="22" spans="2:11">
      <c r="B22" s="9">
        <v>17</v>
      </c>
      <c r="C22" s="12"/>
      <c r="D22" s="13"/>
      <c r="E22" s="13"/>
      <c r="F22" s="13"/>
      <c r="G22" s="13"/>
      <c r="H22" s="13"/>
      <c r="I22" s="14"/>
    </row>
    <row r="23" spans="2:11">
      <c r="B23" s="9">
        <v>18</v>
      </c>
      <c r="C23" s="12"/>
      <c r="D23" s="13"/>
      <c r="E23" s="13"/>
      <c r="F23" s="13"/>
      <c r="G23" s="13"/>
      <c r="H23" s="13"/>
      <c r="I23" s="14"/>
    </row>
    <row r="24" spans="2:11">
      <c r="B24" s="9">
        <v>19</v>
      </c>
      <c r="C24" s="12"/>
      <c r="D24" s="13"/>
      <c r="E24" s="13"/>
      <c r="F24" s="13"/>
      <c r="G24" s="13"/>
      <c r="H24" s="13"/>
      <c r="I24" s="14"/>
    </row>
    <row r="25" spans="2:11" ht="14" thickBot="1">
      <c r="B25" s="9">
        <v>20</v>
      </c>
      <c r="C25" s="15"/>
      <c r="D25" s="16"/>
      <c r="E25" s="16"/>
      <c r="F25" s="16"/>
      <c r="G25" s="16"/>
      <c r="H25" s="16"/>
      <c r="I25" s="17"/>
    </row>
    <row r="26" spans="2:11" s="18" customFormat="1" hidden="1">
      <c r="C26" s="19">
        <f t="shared" ref="C26:I26" si="0" xml:space="preserve"> 1*(C27=1)</f>
        <v>0</v>
      </c>
      <c r="D26" s="19">
        <f t="shared" si="0"/>
        <v>0</v>
      </c>
      <c r="E26" s="19">
        <f t="shared" si="0"/>
        <v>0</v>
      </c>
      <c r="F26" s="19">
        <f t="shared" si="0"/>
        <v>0</v>
      </c>
      <c r="G26" s="19">
        <f t="shared" si="0"/>
        <v>0</v>
      </c>
      <c r="H26" s="19">
        <f t="shared" si="0"/>
        <v>0</v>
      </c>
      <c r="I26" s="19">
        <f t="shared" si="0"/>
        <v>0</v>
      </c>
      <c r="J26" s="9">
        <f>SUM(C26:I26)</f>
        <v>0</v>
      </c>
    </row>
    <row r="27" spans="2:11">
      <c r="B27" s="9" t="s">
        <v>37</v>
      </c>
      <c r="C27" s="9">
        <f t="shared" ref="C27:I27" si="1">COUNTA(C6:C25)</f>
        <v>4</v>
      </c>
      <c r="D27" s="9">
        <f t="shared" si="1"/>
        <v>4</v>
      </c>
      <c r="E27" s="9">
        <f t="shared" si="1"/>
        <v>4</v>
      </c>
      <c r="F27" s="9">
        <f t="shared" si="1"/>
        <v>4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9">
        <f>SUM(C27:I27)</f>
        <v>16</v>
      </c>
      <c r="K27" s="9">
        <f>((C27=D27)+(D27=0))*((C27=E27)+(E27=0))*((C27=F27)+(F27=0))*((C27=G27)+(G27=0))*((C27=H27)+(H27=0))*((C27=I27)+(I27=0))</f>
        <v>1</v>
      </c>
    </row>
    <row r="28" spans="2:11" hidden="1">
      <c r="B28" s="9" t="s">
        <v>38</v>
      </c>
      <c r="C28" s="9">
        <f t="shared" ref="C28:I28" si="2">IF(C$27&gt;0,C27-1,"")</f>
        <v>3</v>
      </c>
      <c r="D28" s="9">
        <f t="shared" si="2"/>
        <v>3</v>
      </c>
      <c r="E28" s="9">
        <f t="shared" si="2"/>
        <v>3</v>
      </c>
      <c r="F28" s="9">
        <f t="shared" si="2"/>
        <v>3</v>
      </c>
      <c r="G28" s="9" t="str">
        <f t="shared" si="2"/>
        <v/>
      </c>
      <c r="H28" s="9" t="str">
        <f t="shared" si="2"/>
        <v/>
      </c>
      <c r="I28" s="9" t="str">
        <f t="shared" si="2"/>
        <v/>
      </c>
      <c r="J28" s="9">
        <f>SUM(C28:I28)</f>
        <v>12</v>
      </c>
    </row>
    <row r="29" spans="2:11" s="7" customFormat="1" ht="16">
      <c r="B29" s="7" t="s">
        <v>39</v>
      </c>
      <c r="C29" s="7">
        <f>IF(C$27&gt;0,AVERAGE(C6:C25),"")</f>
        <v>118.79249999999999</v>
      </c>
      <c r="D29" s="7">
        <f t="shared" ref="D29:I29" si="3">IF(D27&gt;0,AVERAGE(D6:D25),"")</f>
        <v>111.4975</v>
      </c>
      <c r="E29" s="7">
        <f t="shared" si="3"/>
        <v>131.14000000000001</v>
      </c>
      <c r="F29" s="7">
        <f t="shared" si="3"/>
        <v>126.55500000000001</v>
      </c>
      <c r="G29" s="7" t="str">
        <f t="shared" si="3"/>
        <v/>
      </c>
      <c r="H29" s="7" t="str">
        <f t="shared" si="3"/>
        <v/>
      </c>
      <c r="I29" s="7" t="str">
        <f t="shared" si="3"/>
        <v/>
      </c>
      <c r="J29" s="7">
        <f>AVERAGE(C29:I29)</f>
        <v>121.99625</v>
      </c>
    </row>
    <row r="30" spans="2:11" s="7" customFormat="1" ht="16">
      <c r="B30" s="7" t="s">
        <v>40</v>
      </c>
      <c r="C30" s="7">
        <f>IF(C$27&gt;0,_xlfn.VAR.S(C6:C25),"")</f>
        <v>22.395758333333351</v>
      </c>
      <c r="D30" s="7">
        <f t="shared" ref="D30:F30" si="4">IF(D$27&gt;0,_xlfn.VAR.S(D6:D25),"")</f>
        <v>14.921958333333313</v>
      </c>
      <c r="E30" s="7">
        <f t="shared" si="4"/>
        <v>2.0125999999999995</v>
      </c>
      <c r="F30" s="7">
        <f t="shared" si="4"/>
        <v>2.4975000000000027</v>
      </c>
      <c r="G30" s="7" t="str">
        <f t="shared" ref="D30:I30" si="5">IF(G27&gt;0,VAR(G6:G25),"")</f>
        <v/>
      </c>
      <c r="H30" s="7" t="str">
        <f t="shared" si="5"/>
        <v/>
      </c>
      <c r="I30" s="7" t="str">
        <f t="shared" si="5"/>
        <v/>
      </c>
    </row>
    <row r="31" spans="2:11" hidden="1">
      <c r="B31" s="9" t="s">
        <v>41</v>
      </c>
      <c r="C31" s="9">
        <f t="shared" ref="C31:I31" si="6">IF(C$27&gt;0,C30*(C27-1),"")</f>
        <v>67.187275000000056</v>
      </c>
      <c r="D31" s="9">
        <f t="shared" si="6"/>
        <v>44.765874999999937</v>
      </c>
      <c r="E31" s="9">
        <f t="shared" si="6"/>
        <v>6.0377999999999989</v>
      </c>
      <c r="F31" s="9">
        <f t="shared" si="6"/>
        <v>7.4925000000000086</v>
      </c>
      <c r="G31" s="9" t="str">
        <f t="shared" si="6"/>
        <v/>
      </c>
      <c r="H31" s="9" t="str">
        <f t="shared" si="6"/>
        <v/>
      </c>
      <c r="I31" s="9" t="str">
        <f t="shared" si="6"/>
        <v/>
      </c>
      <c r="J31" s="9">
        <f>SUM(C31:I31)</f>
        <v>125.48345</v>
      </c>
    </row>
    <row r="32" spans="2:11">
      <c r="B32" s="9" t="s">
        <v>42</v>
      </c>
      <c r="C32" s="9">
        <f>J31/(J27-J6)</f>
        <v>10.456954166666668</v>
      </c>
    </row>
    <row r="33" spans="2:10" ht="23">
      <c r="D33" s="20" t="str">
        <f>IF(K27=0,"Attention, il faut le même nombre d'observations par groupe","")</f>
        <v/>
      </c>
    </row>
    <row r="34" spans="2:10" s="21" customFormat="1" ht="23">
      <c r="C34" s="20" t="str">
        <f>IF($J$26&gt;0,"Attention, il faut au moins deux observations par groupe","")</f>
        <v/>
      </c>
      <c r="D34" s="20" t="str">
        <f>IF(K27=0,"Ce qui suit est incorrect","")</f>
        <v/>
      </c>
    </row>
    <row r="35" spans="2:10" s="21" customFormat="1" ht="23">
      <c r="B35" s="5" t="s">
        <v>43</v>
      </c>
      <c r="C35" s="20"/>
    </row>
    <row r="36" spans="2:10" s="21" customFormat="1" ht="23">
      <c r="C36" s="18" t="s">
        <v>44</v>
      </c>
    </row>
    <row r="37" spans="2:10" s="21" customFormat="1" ht="23">
      <c r="C37" s="18" t="str">
        <f>IF(K27=1,"praticable sur des tailles d'échantillons égales","impraticable ici car il exige des tailles d'échantillons égales" )</f>
        <v>praticable sur des tailles d'échantillons égales</v>
      </c>
      <c r="G37" s="22" t="str">
        <f>IF(K$27=1,J5,"")</f>
        <v>nb unités aléatoires</v>
      </c>
      <c r="H37" s="22" t="str">
        <f>IF(K$27=1,B27,"")</f>
        <v>nobs</v>
      </c>
      <c r="I37" s="22" t="str">
        <f>IF(K$27=1,"d.l.","")</f>
        <v>d.l.</v>
      </c>
      <c r="J37" s="21" t="s">
        <v>45</v>
      </c>
    </row>
    <row r="38" spans="2:10" s="21" customFormat="1" ht="23">
      <c r="C38" s="18" t="str">
        <f>IF(K27=1,"Valeur critique (95%) lue dans les tables","")</f>
        <v>Valeur critique (95%) lue dans les tables</v>
      </c>
      <c r="G38" s="22">
        <f>IF(K$27=1,J6,"")</f>
        <v>4</v>
      </c>
      <c r="H38" s="22">
        <f>IF(K$27=1,C27,"")</f>
        <v>4</v>
      </c>
      <c r="I38" s="22">
        <f>IF(K$27=1,H38-1,"")</f>
        <v>3</v>
      </c>
      <c r="J38" s="23">
        <v>39.200000000000003</v>
      </c>
    </row>
    <row r="39" spans="2:10" s="21" customFormat="1" ht="23">
      <c r="C39" s="18" t="str">
        <f>IF(K27=1,"Rapport des S2max/S2min","")</f>
        <v>Rapport des S2max/S2min</v>
      </c>
      <c r="J39" s="24">
        <f>IF(K$27=1,MAX(C30:I30)/MIN(C30:I30),"")</f>
        <v>11.12777418927425</v>
      </c>
    </row>
    <row r="40" spans="2:10" s="21" customFormat="1" ht="23">
      <c r="C40" s="18" t="str">
        <f>IF(K27=1,"Conclusion au seuil 5%","")</f>
        <v>Conclusion au seuil 5%</v>
      </c>
      <c r="F40" s="18" t="str">
        <f>IF((K27=1)*(J39&gt;J38),"Attention: hétérogénéité des variances (1)",IF((K27=1),"Homogénéité des variances, OK",""))</f>
        <v>Homogénéité des variances, OK</v>
      </c>
    </row>
    <row r="41" spans="2:10" s="21" customFormat="1" ht="23">
      <c r="B41" s="54"/>
      <c r="C41"/>
      <c r="D41"/>
      <c r="E41"/>
      <c r="F41"/>
      <c r="G41"/>
    </row>
    <row r="42" spans="2:10" s="21" customFormat="1" ht="23">
      <c r="B42"/>
      <c r="C42" s="55" t="str">
        <f>IF((K27=1)*(J39&gt;J38),"(1) En cas d'hétérogénéité de variance, il est impossible de comparer les moyennes","")</f>
        <v/>
      </c>
      <c r="D42" s="55"/>
      <c r="E42" s="55"/>
      <c r="F42"/>
      <c r="G42"/>
    </row>
    <row r="43" spans="2:10" s="21" customFormat="1" ht="23">
      <c r="B43"/>
      <c r="C43" s="56" t="str">
        <f>IF((K27=1)*(J39&gt;J38),"La façon la plus courante de resoudre le problème est de remplacer les données par leur logarithme ","")</f>
        <v/>
      </c>
      <c r="D43" s="55"/>
      <c r="E43" s="57"/>
      <c r="F43"/>
      <c r="G43"/>
    </row>
    <row r="44" spans="2:10" s="21" customFormat="1" ht="23">
      <c r="B44"/>
      <c r="C44" s="58"/>
      <c r="D44"/>
      <c r="E44" s="58"/>
      <c r="F44"/>
      <c r="G44"/>
    </row>
    <row r="45" spans="2:10" s="5" customFormat="1" ht="23">
      <c r="B45" s="5" t="s">
        <v>46</v>
      </c>
    </row>
    <row r="46" spans="2:10">
      <c r="C46" s="9" t="s">
        <v>41</v>
      </c>
      <c r="D46" s="9" t="s">
        <v>47</v>
      </c>
      <c r="E46" s="9" t="s">
        <v>48</v>
      </c>
      <c r="F46" s="9" t="s">
        <v>49</v>
      </c>
      <c r="G46" s="9" t="s">
        <v>50</v>
      </c>
    </row>
    <row r="47" spans="2:10">
      <c r="B47" s="9" t="s">
        <v>51</v>
      </c>
      <c r="C47" s="26">
        <f>DEVSQ(C6:I25)</f>
        <v>1024.9959749999998</v>
      </c>
      <c r="D47" s="9">
        <f>J27-1</f>
        <v>15</v>
      </c>
    </row>
    <row r="48" spans="2:10">
      <c r="B48" s="9" t="s">
        <v>52</v>
      </c>
      <c r="C48" s="26">
        <f>C47-C49</f>
        <v>899.51252499999987</v>
      </c>
      <c r="D48" s="9">
        <f>J6-1</f>
        <v>3</v>
      </c>
      <c r="E48" s="27">
        <f>C48/D48</f>
        <v>299.83750833333329</v>
      </c>
      <c r="F48" s="27">
        <f>E48/E49</f>
        <v>28.673503159181543</v>
      </c>
      <c r="G48" s="28">
        <f>_xlfn.F.DIST.RT(F48,D48,D49)</f>
        <v>9.3401358310121657E-6</v>
      </c>
      <c r="H48" s="9" t="str">
        <f>IF(G48&gt;0.05,"N.S.",IF(G48&gt;0.01,"S",IF(G48&gt;0.001,"SS","SSS")))</f>
        <v>SSS</v>
      </c>
    </row>
    <row r="49" spans="2:10">
      <c r="B49" s="9" t="s">
        <v>53</v>
      </c>
      <c r="C49" s="26">
        <f>D49*E49</f>
        <v>125.48345</v>
      </c>
      <c r="D49" s="9">
        <f>J28</f>
        <v>12</v>
      </c>
      <c r="E49" s="27">
        <f>C32</f>
        <v>10.456954166666668</v>
      </c>
      <c r="F49" s="27"/>
      <c r="G49" s="27"/>
    </row>
    <row r="51" spans="2:10" s="18" customFormat="1">
      <c r="B51" s="29" t="s">
        <v>54</v>
      </c>
      <c r="D51" s="18" t="str">
        <f>IF($G$48&lt;0.05,"La variance entre les unités aléatoires est détectable","La variance entre les unités aléatoires n'est pas détectable")</f>
        <v>La variance entre les unités aléatoires est détectable</v>
      </c>
    </row>
    <row r="52" spans="2:10">
      <c r="D52" s="18" t="str">
        <f>IF($G$48&lt;0.05,"","Ne pas tenir compte des valeurs ci-dessous")</f>
        <v/>
      </c>
    </row>
    <row r="53" spans="2:10">
      <c r="B53" s="18" t="str">
        <f>IF($G$48&lt;0.05,"Estimation de la variance entre les unités aléatoires ","")</f>
        <v xml:space="preserve">Estimation de la variance entre les unités aléatoires </v>
      </c>
      <c r="H53" s="27">
        <f>IF($G$48&lt;0.05,(E48-E49)/C27,"")</f>
        <v>72.345138541666657</v>
      </c>
    </row>
    <row r="54" spans="2:10">
      <c r="B54" s="18" t="str">
        <f>IF($G$48&lt;0.05,"Estimation de la variance entre les répétitions de la mesure ","")</f>
        <v xml:space="preserve">Estimation de la variance entre les répétitions de la mesure </v>
      </c>
      <c r="H54" s="27">
        <f>IF($G$48&lt;0.05,E49,"")</f>
        <v>10.456954166666668</v>
      </c>
    </row>
    <row r="55" spans="2:10">
      <c r="B55" s="18" t="str">
        <f>IF($G$48&lt;0.05,"Estimation du coût de l'unité aléatoire (à introduire dans le cadre)","")</f>
        <v>Estimation du coût de l'unité aléatoire (à introduire dans le cadre)</v>
      </c>
      <c r="H55" s="30">
        <v>100</v>
      </c>
    </row>
    <row r="56" spans="2:10" hidden="1">
      <c r="B56" s="18" t="str">
        <f>IF($G$48&lt;0.05,"Estimation du coût de l'unité aléatoire ","")</f>
        <v xml:space="preserve">Estimation du coût de l'unité aléatoire </v>
      </c>
      <c r="H56" s="30"/>
    </row>
    <row r="57" spans="2:10" hidden="1">
      <c r="B57" s="18" t="str">
        <f>IF($G$48&lt;0.05,"Estimation du coût de l'unité aléatoire ","")</f>
        <v xml:space="preserve">Estimation du coût de l'unité aléatoire </v>
      </c>
      <c r="H57" s="30"/>
    </row>
    <row r="58" spans="2:10">
      <c r="B58" s="18" t="str">
        <f>IF($G$48&lt;0.05,"Estimation du coût de la répétition de la mesure (à introduire dans le cadre) ","")</f>
        <v xml:space="preserve">Estimation du coût de la répétition de la mesure (à introduire dans le cadre) </v>
      </c>
      <c r="H58" s="30">
        <v>1</v>
      </c>
    </row>
    <row r="59" spans="2:10">
      <c r="B59" s="29" t="str">
        <f>IF($G$48&lt;0.05,"Estimation du nombre optimal de  répétitions de la mesure ","")</f>
        <v xml:space="preserve">Estimation du nombre optimal de  répétitions de la mesure </v>
      </c>
      <c r="H59" s="9">
        <f>IF($G$48&lt;0.05,(H55/H58*H54/H53)^0.5,"")</f>
        <v>3.8018758063386926</v>
      </c>
      <c r="I59" s="31">
        <f>IF($G$48&lt;0.05,INT(H59)+1,"")</f>
        <v>4</v>
      </c>
      <c r="J59" s="59"/>
    </row>
    <row r="60" spans="2:10">
      <c r="B60" s="18"/>
    </row>
    <row r="61" spans="2:10">
      <c r="B61" s="18" t="str">
        <f>IF($G$48&lt;0.05,"Différence minimale ayant une signification (à introduire dans le cadre) ","")</f>
        <v xml:space="preserve">Différence minimale ayant une signification (à introduire dans le cadre) </v>
      </c>
      <c r="H61" s="30">
        <v>5</v>
      </c>
    </row>
    <row r="62" spans="2:10">
      <c r="B62" s="29" t="str">
        <f>IF($G$48&lt;0.05,"Estimation du nombre optimal d'unités aléatoires (confiance=puissance=95%) ","")</f>
        <v xml:space="preserve">Estimation du nombre optimal d'unités aléatoires (confiance=puissance=95%) </v>
      </c>
      <c r="H62" s="32">
        <f>IF($G$48&lt;0.05,16*(H54/C27+H53)/H61^2,"")</f>
        <v>47.974001333333327</v>
      </c>
      <c r="I62" s="31">
        <f>IF($G$48&lt;0.05,INT(H62)+1,"")</f>
        <v>48</v>
      </c>
      <c r="J62" s="59"/>
    </row>
    <row r="64" spans="2:10">
      <c r="B64" s="18"/>
    </row>
    <row r="65" spans="2:10">
      <c r="B65" s="29" t="str">
        <f>IF($G$48&lt;0.05,"Intervalle de confiance à 95% de la moyenne générale ","")</f>
        <v xml:space="preserve">Intervalle de confiance à 95% de la moyenne générale </v>
      </c>
    </row>
    <row r="66" spans="2:10">
      <c r="B66" s="18"/>
      <c r="E66" s="18" t="str">
        <f>IF($G$48&lt;0.05,"Valeur de t de Student ","")</f>
        <v xml:space="preserve">Valeur de t de Student </v>
      </c>
      <c r="H66" s="27">
        <f>IF($G$48&lt;0.05,TINV(0.05,J6-1),"")</f>
        <v>3.1824463052837091</v>
      </c>
    </row>
    <row r="67" spans="2:10">
      <c r="B67" s="18"/>
      <c r="E67" s="18" t="str">
        <f>IF($G$48&lt;0.05,"Estimation de la moyenne générale ","")</f>
        <v xml:space="preserve">Estimation de la moyenne générale </v>
      </c>
      <c r="H67" s="50">
        <f>IF($G$48&lt;0.05,J29,"")</f>
        <v>121.99625</v>
      </c>
      <c r="I67" s="59"/>
    </row>
    <row r="68" spans="2:10">
      <c r="E68" s="18" t="str">
        <f>IF($G$48&lt;0.05,"Estimation de l'écart-type ","")</f>
        <v xml:space="preserve">Estimation de l'écart-type </v>
      </c>
      <c r="H68" s="48">
        <f>IF($G$48&lt;0.05,((H54/(C27*J6))+(H53/J6))^0.5,"")</f>
        <v>4.3289541774929114</v>
      </c>
    </row>
    <row r="69" spans="2:10">
      <c r="D69" s="18" t="str">
        <f>IF($G$48&lt;0.05,"limite inférieure de l'intervalle de confiance à 95%  ","")</f>
        <v xml:space="preserve">limite inférieure de l'intervalle de confiance à 95%  </v>
      </c>
      <c r="F69" s="33"/>
      <c r="G69" s="33"/>
      <c r="H69" s="49">
        <f>IF($G$48&lt;0.05,H67-H66*H68,"")</f>
        <v>108.21958577209521</v>
      </c>
      <c r="I69" s="60"/>
      <c r="J69" s="33"/>
    </row>
    <row r="70" spans="2:10">
      <c r="D70" s="18" t="str">
        <f>IF($G$48&lt;0.05,"limite supérieure de l'intervalle de confiance à 95%  ","")</f>
        <v xml:space="preserve">limite supérieure de l'intervalle de confiance à 95%  </v>
      </c>
      <c r="H70" s="50">
        <f>IF($G$48&lt;0.05,H67+H66*H68,"")</f>
        <v>135.77291422790481</v>
      </c>
      <c r="I70" s="59"/>
    </row>
    <row r="72" spans="2:10" s="5" customFormat="1" ht="23">
      <c r="B72" s="5" t="s">
        <v>55</v>
      </c>
    </row>
    <row r="74" spans="2:10">
      <c r="B74" s="9" t="s">
        <v>56</v>
      </c>
      <c r="C74" s="9">
        <f>TINV(0.05,D49)</f>
        <v>2.1788128296672284</v>
      </c>
    </row>
    <row r="75" spans="2:10">
      <c r="B75" s="9" t="s">
        <v>57</v>
      </c>
      <c r="C75" s="9">
        <f t="shared" ref="C75:I75" si="7">IF(C$27&gt;0,$C$74*($C$32/C$27)^0.5,0)</f>
        <v>3.5228368493841584</v>
      </c>
      <c r="D75" s="9">
        <f t="shared" si="7"/>
        <v>3.5228368493841584</v>
      </c>
      <c r="E75" s="9">
        <f t="shared" si="7"/>
        <v>3.5228368493841584</v>
      </c>
      <c r="F75" s="9">
        <f t="shared" si="7"/>
        <v>3.5228368493841584</v>
      </c>
      <c r="G75" s="9">
        <f t="shared" si="7"/>
        <v>0</v>
      </c>
      <c r="H75" s="9">
        <f t="shared" si="7"/>
        <v>0</v>
      </c>
      <c r="I75" s="9">
        <f t="shared" si="7"/>
        <v>0</v>
      </c>
    </row>
    <row r="100" spans="3:3" s="25" customFormat="1" ht="16">
      <c r="C100" s="25" t="s">
        <v>58</v>
      </c>
    </row>
    <row r="101" spans="3:3" s="25" customFormat="1" ht="16">
      <c r="C101" s="25" t="s">
        <v>59</v>
      </c>
    </row>
    <row r="102" spans="3:3" s="25" customFormat="1" ht="16">
      <c r="C102" s="25" t="s">
        <v>60</v>
      </c>
    </row>
    <row r="105" spans="3:3" ht="16">
      <c r="C105" s="25" t="s">
        <v>61</v>
      </c>
    </row>
    <row r="106" spans="3:3" ht="16">
      <c r="C106" s="25"/>
    </row>
    <row r="107" spans="3:3" ht="16">
      <c r="C107" s="25" t="s">
        <v>0</v>
      </c>
    </row>
    <row r="108" spans="3:3" ht="16">
      <c r="C108" s="25"/>
    </row>
  </sheetData>
  <mergeCells count="1">
    <mergeCell ref="C1:N1"/>
  </mergeCells>
  <phoneticPr fontId="0"/>
  <hyperlinks>
    <hyperlink ref="B1" r:id="rId1" display="http://webcampus.fundp.ac.be/BIOSTAT/document/docbiostats/Charte_copy.pdf"/>
  </hyperlinks>
  <pageMargins left="0.78740157499999996" right="0.78740157499999996" top="0.984251969" bottom="0.984251969" header="0.4921259845" footer="0.4921259845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Enoncé</vt:lpstr>
      <vt:lpstr>Solution</vt:lpstr>
      <vt:lpstr>calcul</vt:lpstr>
    </vt:vector>
  </TitlesOfParts>
  <Company>URBM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Coppe</dc:creator>
  <cp:lastModifiedBy>Anne-Cécile Wauthy</cp:lastModifiedBy>
  <dcterms:created xsi:type="dcterms:W3CDTF">2003-02-11T13:04:22Z</dcterms:created>
  <dcterms:modified xsi:type="dcterms:W3CDTF">2012-04-23T15:54:14Z</dcterms:modified>
</cp:coreProperties>
</file>